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ros\home\monikak4\Documents\Aastaaruanded\2024 aasta dokumendid\"/>
    </mc:Choice>
  </mc:AlternateContent>
  <xr:revisionPtr revIDLastSave="0" documentId="13_ncr:1_{A8762011-1B18-4CC9-AE7F-16697E83390B}" xr6:coauthVersionLast="47" xr6:coauthVersionMax="47" xr10:uidLastSave="{00000000-0000-0000-0000-000000000000}"/>
  <bookViews>
    <workbookView xWindow="-120" yWindow="-120" windowWidth="29040" windowHeight="15720" xr2:uid="{4D1749CD-7348-40E3-9063-2FA36ECE44CB}"/>
  </bookViews>
  <sheets>
    <sheet name="aruanne" sheetId="1" r:id="rId1"/>
    <sheet name="vordlus" sheetId="2" r:id="rId2"/>
    <sheet name="lisa1" sheetId="4" r:id="rId3"/>
    <sheet name="Sheet1" sheetId="5" r:id="rId4"/>
  </sheets>
  <definedNames>
    <definedName name="_xlnm._FilterDatabase" localSheetId="1" hidden="1">vordlus!$A$4:$J$15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E11" i="1"/>
  <c r="G3" i="2" l="1"/>
  <c r="E8" i="1"/>
  <c r="C3" i="2" l="1"/>
  <c r="D12" i="1" l="1"/>
  <c r="D11" i="1" l="1"/>
  <c r="D13" i="1"/>
  <c r="C15" i="4"/>
  <c r="C16" i="4" l="1"/>
  <c r="F17" i="1" l="1"/>
  <c r="F14" i="1"/>
  <c r="F11" i="1"/>
  <c r="F8" i="1"/>
  <c r="F5" i="1" s="1"/>
  <c r="F21" i="1" l="1"/>
  <c r="J16" i="1" l="1"/>
  <c r="D14" i="2" l="1"/>
  <c r="H7" i="2" l="1"/>
  <c r="D7" i="2" l="1"/>
  <c r="C7" i="4" l="1"/>
  <c r="G13" i="1"/>
  <c r="D9" i="1"/>
  <c r="D8" i="1"/>
  <c r="D7" i="1"/>
  <c r="D6" i="1"/>
  <c r="D10" i="1"/>
  <c r="D12" i="2"/>
  <c r="D10" i="2" s="1"/>
  <c r="H14" i="2"/>
  <c r="I14" i="2" s="1"/>
  <c r="H12" i="2"/>
  <c r="I12" i="2" s="1"/>
  <c r="D9" i="2"/>
  <c r="E9" i="2" s="1"/>
  <c r="D8" i="2"/>
  <c r="E8" i="2" s="1"/>
  <c r="E7" i="2"/>
  <c r="D6" i="2"/>
  <c r="E6" i="2" s="1"/>
  <c r="D5" i="2"/>
  <c r="E5" i="2" s="1"/>
  <c r="H9" i="2"/>
  <c r="I9" i="2" s="1"/>
  <c r="H8" i="2"/>
  <c r="I8" i="2" s="1"/>
  <c r="I7" i="2"/>
  <c r="H6" i="2"/>
  <c r="I6" i="2" s="1"/>
  <c r="H5" i="2"/>
  <c r="I5" i="2" s="1"/>
  <c r="E5" i="1"/>
  <c r="C5" i="1"/>
  <c r="G9" i="1" l="1"/>
  <c r="G6" i="1"/>
  <c r="G10" i="1"/>
  <c r="G7" i="1"/>
  <c r="G8" i="1"/>
  <c r="H10" i="2"/>
  <c r="G16" i="1"/>
  <c r="H13" i="2"/>
  <c r="I13" i="2" s="1"/>
  <c r="D5" i="1"/>
  <c r="G5" i="1" l="1"/>
  <c r="I10" i="2"/>
  <c r="B7" i="4" l="1"/>
  <c r="B33" i="4" s="1"/>
  <c r="C33" i="4" l="1"/>
  <c r="H11" i="2" l="1"/>
  <c r="I11" i="2" s="1"/>
  <c r="H3" i="2"/>
  <c r="D11" i="2"/>
  <c r="E11" i="2" s="1"/>
  <c r="E17" i="1"/>
  <c r="E21" i="1" s="1"/>
  <c r="E23" i="1" s="1"/>
  <c r="G12" i="1"/>
  <c r="G11" i="1"/>
  <c r="E14" i="2" l="1"/>
  <c r="D13" i="2"/>
  <c r="E13" i="2" s="1"/>
  <c r="C34" i="4"/>
  <c r="C35" i="4" s="1"/>
  <c r="G15" i="1"/>
  <c r="E12" i="2"/>
  <c r="E10" i="2"/>
  <c r="G14" i="1"/>
  <c r="B34" i="4"/>
  <c r="B35" i="4" s="1"/>
  <c r="D3" i="2" l="1"/>
  <c r="E3" i="2" l="1"/>
  <c r="I3" i="2" l="1"/>
</calcChain>
</file>

<file path=xl/sharedStrings.xml><?xml version="1.0" encoding="utf-8"?>
<sst xmlns="http://schemas.openxmlformats.org/spreadsheetml/2006/main" count="90" uniqueCount="72">
  <si>
    <t>eurodes</t>
  </si>
  <si>
    <t>Lõplik eelarve</t>
  </si>
  <si>
    <t>Saadud toetused</t>
  </si>
  <si>
    <t>Riigilõivud</t>
  </si>
  <si>
    <t>Trahvid ja muud varalised karistused</t>
  </si>
  <si>
    <t>Muud tegevustulud</t>
  </si>
  <si>
    <t>sh piirmääraga vahendid</t>
  </si>
  <si>
    <t xml:space="preserve">TULUD </t>
  </si>
  <si>
    <t>KULUD</t>
  </si>
  <si>
    <t xml:space="preserve">INVESTEERINGUD </t>
  </si>
  <si>
    <t>KORRIGEERIMISED</t>
  </si>
  <si>
    <t>Kontroll</t>
  </si>
  <si>
    <t>saldoandmik</t>
  </si>
  <si>
    <t>Saadud riigisisesed toetused</t>
  </si>
  <si>
    <t>Intressikulu pensionieraldistelt</t>
  </si>
  <si>
    <t>Avaliku sektori eripensionid ja pensionisuurendused</t>
  </si>
  <si>
    <t>Investeeringud</t>
  </si>
  <si>
    <t xml:space="preserve">Lisa </t>
  </si>
  <si>
    <t>Eelarve täitmise ja raamatupidamisaruannete võrdlus</t>
  </si>
  <si>
    <t>Kirje</t>
  </si>
  <si>
    <t>Selgitus</t>
  </si>
  <si>
    <t>Finantskulud</t>
  </si>
  <si>
    <t>Riigikohus</t>
  </si>
  <si>
    <t>Valitsemisala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</si>
  <si>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</si>
  <si>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</si>
  <si>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</si>
  <si>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</si>
  <si>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</si>
  <si>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</si>
  <si>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</si>
  <si>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</si>
  <si>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</si>
  <si>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</si>
  <si>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</si>
  <si>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</si>
  <si>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</si>
  <si>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Eelarves kavandatud edasiantavad maksud</t>
  </si>
  <si>
    <t>Tegelikud edasiantavad maksud</t>
  </si>
  <si>
    <t xml:space="preserve">Saadud Vabariigi Valitsuse reservfondist </t>
  </si>
  <si>
    <t>Antud Vabariigi valitsuse reservfondi</t>
  </si>
  <si>
    <t>Saadud omandireformi reservfondist</t>
  </si>
  <si>
    <t>Kokku lõplik eelarve</t>
  </si>
  <si>
    <t>Käibemaksukulu tegevuskuludelt</t>
  </si>
  <si>
    <t>Muud tulud</t>
  </si>
  <si>
    <t>Eelarves kavandatud välistoetuste kaasrahastamine</t>
  </si>
  <si>
    <t>Tegelik välistoetuste kaasrahastamine</t>
  </si>
  <si>
    <t>Tulud majandustegevusest</t>
  </si>
  <si>
    <t>sh käibemaks</t>
  </si>
  <si>
    <t>Käibemaksukulu investeeringutelt</t>
  </si>
  <si>
    <t>Tegevuskulud, v.a käibemaksukulu</t>
  </si>
  <si>
    <t xml:space="preserve">RIIGIKOHUS </t>
  </si>
  <si>
    <t>Kulud, investeeringud</t>
  </si>
  <si>
    <t>Muudatused Vabariigi Valitsuse korralduste alusel</t>
  </si>
  <si>
    <t>Tegelikud muud tuludest sõltuvad kulud</t>
  </si>
  <si>
    <t>Taastuvenergia statistiliste ühikute eelarve ümberjaotamine</t>
  </si>
  <si>
    <t>Omandireformi reservfondi vahendite ümberjaotamine</t>
  </si>
  <si>
    <t xml:space="preserve">Vabariigi Valitsuse reservfondi vahendite ümberjaotamine </t>
  </si>
  <si>
    <t>Raamatupidamisandmed 2023</t>
  </si>
  <si>
    <t>RE aruanne 2023</t>
  </si>
  <si>
    <t>Vahe 2023</t>
  </si>
  <si>
    <t>2024. aasta riigieelarve täitmise arunne</t>
  </si>
  <si>
    <t>Raamatupidamisandmed 2024</t>
  </si>
  <si>
    <t>RE aruanne 2024</t>
  </si>
  <si>
    <t>Vahe 2024</t>
  </si>
  <si>
    <t>Muudatused 19.06.2024 lisaeelarve seaduse alusel</t>
  </si>
  <si>
    <t>Muudatused 29.05.2024 riigieelarve muutmise seaduse alusel</t>
  </si>
  <si>
    <t>Muudatused 05.12.2024 riigieelarve seaduse muutmise seaduse alusel</t>
  </si>
  <si>
    <t>Algne eelarve</t>
  </si>
  <si>
    <t>Täitmine 2024</t>
  </si>
  <si>
    <t>Täitmine 2023</t>
  </si>
  <si>
    <t>Täitmine miinus lõplik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</si>
</sst>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5" tint="-0.49998474074526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color theme="1"/>
      <name val="Cambria"/>
      <family val="1"/>
      <charset val="186"/>
    </font>
    <font>
      <sz val="9"/>
      <color theme="1"/>
      <name val="Cambria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3" fontId="5" fillId="0" borderId="1" xfId="0" applyNumberFormat="1" applyFont="1" applyBorder="1" applyAlignment="1">
      <alignment horizontal="right"/>
    </xf>
    <xf numFmtId="3" fontId="8" fillId="0" borderId="1" xfId="2" applyNumberFormat="1" applyFont="1" applyBorder="1" applyAlignment="1" applyProtection="1">
      <alignment horizontal="right"/>
      <protection locked="0"/>
    </xf>
    <xf numFmtId="3" fontId="8" fillId="0" borderId="1" xfId="1" applyNumberFormat="1" applyFont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3" fontId="5" fillId="2" borderId="1" xfId="2" applyNumberFormat="1" applyFont="1" applyFill="1" applyBorder="1" applyAlignment="1" applyProtection="1">
      <alignment horizontal="right"/>
      <protection locked="0"/>
    </xf>
    <xf numFmtId="3" fontId="5" fillId="2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1" fillId="0" borderId="0" xfId="0" applyFont="1"/>
    <xf numFmtId="3" fontId="9" fillId="0" borderId="0" xfId="0" applyNumberFormat="1" applyFont="1"/>
    <xf numFmtId="4" fontId="9" fillId="0" borderId="0" xfId="0" applyNumberFormat="1" applyFont="1"/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" fillId="0" borderId="0" xfId="0" applyNumberFormat="1" applyFont="1" applyAlignment="1">
      <alignment wrapText="1"/>
    </xf>
    <xf numFmtId="4" fontId="0" fillId="0" borderId="0" xfId="0" applyNumberFormat="1"/>
    <xf numFmtId="0" fontId="11" fillId="2" borderId="1" xfId="0" applyFont="1" applyFill="1" applyBorder="1" applyAlignment="1">
      <alignment vertical="top"/>
    </xf>
    <xf numFmtId="4" fontId="11" fillId="2" borderId="1" xfId="0" applyNumberFormat="1" applyFont="1" applyFill="1" applyBorder="1" applyAlignment="1">
      <alignment vertical="top" wrapText="1"/>
    </xf>
    <xf numFmtId="0" fontId="12" fillId="0" borderId="0" xfId="0" applyFont="1"/>
    <xf numFmtId="0" fontId="11" fillId="3" borderId="1" xfId="0" applyFont="1" applyFill="1" applyBorder="1" applyAlignment="1">
      <alignment vertical="top"/>
    </xf>
    <xf numFmtId="3" fontId="12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" xfId="0" applyFont="1" applyBorder="1"/>
    <xf numFmtId="0" fontId="11" fillId="0" borderId="1" xfId="0" applyFont="1" applyBorder="1" applyAlignment="1">
      <alignment vertical="top"/>
    </xf>
    <xf numFmtId="3" fontId="11" fillId="0" borderId="1" xfId="0" applyNumberFormat="1" applyFont="1" applyBorder="1" applyAlignment="1">
      <alignment vertical="top"/>
    </xf>
    <xf numFmtId="3" fontId="12" fillId="0" borderId="0" xfId="0" applyNumberFormat="1" applyFont="1"/>
    <xf numFmtId="0" fontId="14" fillId="0" borderId="0" xfId="0" applyFont="1"/>
    <xf numFmtId="4" fontId="0" fillId="0" borderId="0" xfId="0" applyNumberFormat="1" applyAlignment="1">
      <alignment horizontal="right"/>
    </xf>
    <xf numFmtId="3" fontId="6" fillId="0" borderId="1" xfId="2" applyNumberFormat="1" applyFont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43" fontId="0" fillId="0" borderId="0" xfId="6" applyFont="1"/>
    <xf numFmtId="4" fontId="9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wrapText="1"/>
    </xf>
    <xf numFmtId="4" fontId="11" fillId="2" borderId="1" xfId="0" applyNumberFormat="1" applyFont="1" applyFill="1" applyBorder="1" applyAlignment="1">
      <alignment horizontal="right" vertical="top" wrapText="1"/>
    </xf>
    <xf numFmtId="43" fontId="1" fillId="0" borderId="0" xfId="6" applyFont="1"/>
    <xf numFmtId="4" fontId="11" fillId="2" borderId="1" xfId="0" applyNumberFormat="1" applyFont="1" applyFill="1" applyBorder="1" applyAlignment="1">
      <alignment vertical="top"/>
    </xf>
    <xf numFmtId="0" fontId="3" fillId="0" borderId="0" xfId="0" applyFont="1"/>
    <xf numFmtId="3" fontId="4" fillId="0" borderId="0" xfId="0" applyNumberFormat="1" applyFont="1"/>
    <xf numFmtId="3" fontId="0" fillId="0" borderId="0" xfId="0" applyNumberFormat="1"/>
    <xf numFmtId="3" fontId="5" fillId="0" borderId="0" xfId="0" applyNumberFormat="1" applyFont="1"/>
    <xf numFmtId="0" fontId="7" fillId="0" borderId="1" xfId="0" applyFont="1" applyBorder="1" applyAlignment="1">
      <alignment horizontal="left"/>
    </xf>
    <xf numFmtId="0" fontId="3" fillId="0" borderId="1" xfId="2" applyFont="1" applyBorder="1" applyAlignment="1" applyProtection="1">
      <alignment horizontal="left"/>
      <protection locked="0"/>
    </xf>
    <xf numFmtId="0" fontId="5" fillId="0" borderId="1" xfId="2" applyFont="1" applyBorder="1" applyAlignment="1" applyProtection="1">
      <alignment horizontal="left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1" applyFont="1" applyBorder="1" applyAlignment="1" applyProtection="1">
      <alignment horizontal="left"/>
      <protection locked="0"/>
    </xf>
    <xf numFmtId="0" fontId="3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0" borderId="1" xfId="0" applyFont="1" applyBorder="1"/>
    <xf numFmtId="3" fontId="2" fillId="0" borderId="0" xfId="0" applyNumberFormat="1" applyFont="1"/>
    <xf numFmtId="3" fontId="3" fillId="0" borderId="1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43" fontId="0" fillId="0" borderId="0" xfId="6" applyFont="1" applyBorder="1"/>
    <xf numFmtId="43" fontId="2" fillId="0" borderId="0" xfId="6" applyFont="1"/>
    <xf numFmtId="0" fontId="2" fillId="0" borderId="0" xfId="0" applyFont="1"/>
    <xf numFmtId="0" fontId="4" fillId="0" borderId="0" xfId="0" applyFont="1"/>
    <xf numFmtId="3" fontId="8" fillId="5" borderId="1" xfId="2" applyNumberFormat="1" applyFont="1" applyFill="1" applyBorder="1" applyAlignment="1" applyProtection="1">
      <alignment horizontal="right"/>
      <protection locked="0"/>
    </xf>
    <xf numFmtId="3" fontId="6" fillId="5" borderId="1" xfId="2" applyNumberFormat="1" applyFont="1" applyFill="1" applyBorder="1" applyAlignment="1" applyProtection="1">
      <alignment horizontal="right"/>
      <protection locked="0"/>
    </xf>
    <xf numFmtId="3" fontId="5" fillId="5" borderId="1" xfId="2" applyNumberFormat="1" applyFont="1" applyFill="1" applyBorder="1" applyAlignment="1" applyProtection="1">
      <alignment horizontal="right"/>
      <protection locked="0"/>
    </xf>
    <xf numFmtId="3" fontId="3" fillId="5" borderId="1" xfId="2" applyNumberFormat="1" applyFont="1" applyFill="1" applyBorder="1" applyAlignment="1" applyProtection="1">
      <alignment horizontal="right"/>
      <protection locked="0"/>
    </xf>
    <xf numFmtId="3" fontId="8" fillId="5" borderId="1" xfId="1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0" fontId="13" fillId="0" borderId="0" xfId="0" applyFont="1" applyAlignment="1">
      <alignment horizontal="left"/>
    </xf>
    <xf numFmtId="3" fontId="14" fillId="0" borderId="0" xfId="0" applyNumberFormat="1" applyFont="1"/>
    <xf numFmtId="0" fontId="13" fillId="0" borderId="0" xfId="2" applyFont="1" applyAlignment="1" applyProtection="1">
      <alignment horizontal="left"/>
      <protection locked="0"/>
    </xf>
    <xf numFmtId="3" fontId="13" fillId="0" borderId="0" xfId="0" applyNumberFormat="1" applyFont="1"/>
    <xf numFmtId="0" fontId="14" fillId="0" borderId="0" xfId="2" applyFont="1" applyAlignment="1" applyProtection="1">
      <alignment horizontal="left"/>
      <protection locked="0"/>
    </xf>
    <xf numFmtId="0" fontId="13" fillId="0" borderId="0" xfId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left"/>
      <protection locked="0"/>
    </xf>
    <xf numFmtId="0" fontId="14" fillId="5" borderId="0" xfId="2" applyFont="1" applyFill="1" applyAlignment="1" applyProtection="1">
      <alignment horizontal="left"/>
      <protection locked="0"/>
    </xf>
    <xf numFmtId="0" fontId="14" fillId="5" borderId="0" xfId="0" applyFont="1" applyFill="1" applyAlignment="1">
      <alignment horizontal="center"/>
    </xf>
    <xf numFmtId="0" fontId="14" fillId="5" borderId="0" xfId="0" applyFont="1" applyFill="1"/>
    <xf numFmtId="3" fontId="12" fillId="5" borderId="1" xfId="0" applyNumberFormat="1" applyFont="1" applyFill="1" applyBorder="1" applyAlignment="1">
      <alignment vertical="top"/>
    </xf>
    <xf numFmtId="0" fontId="0" fillId="5" borderId="0" xfId="0" applyFill="1"/>
    <xf numFmtId="4" fontId="4" fillId="5" borderId="0" xfId="0" applyNumberFormat="1" applyFont="1" applyFill="1" applyAlignment="1">
      <alignment wrapText="1"/>
    </xf>
    <xf numFmtId="4" fontId="0" fillId="5" borderId="0" xfId="0" applyNumberFormat="1" applyFill="1"/>
    <xf numFmtId="4" fontId="0" fillId="5" borderId="0" xfId="0" applyNumberFormat="1" applyFill="1" applyAlignment="1">
      <alignment wrapText="1"/>
    </xf>
    <xf numFmtId="4" fontId="4" fillId="5" borderId="0" xfId="0" applyNumberFormat="1" applyFont="1" applyFill="1"/>
    <xf numFmtId="0" fontId="12" fillId="5" borderId="1" xfId="0" applyFont="1" applyFill="1" applyBorder="1" applyAlignment="1">
      <alignment vertical="top"/>
    </xf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Q26"/>
  <sheetViews>
    <sheetView tabSelected="1" zoomScale="90" zoomScaleNormal="90" workbookViewId="0">
      <selection activeCell="B30" sqref="B30"/>
    </sheetView>
  </sheetViews>
  <sheetFormatPr defaultRowHeight="15" x14ac:dyDescent="0.25"/>
  <cols>
    <col min="1" max="1" width="7.42578125" customWidth="1"/>
    <col min="2" max="2" width="53.42578125" customWidth="1"/>
    <col min="3" max="7" width="22" style="42" customWidth="1"/>
    <col min="8" max="8" width="19.7109375" style="34" customWidth="1"/>
    <col min="9" max="9" width="18.85546875" style="34" bestFit="1" customWidth="1"/>
    <col min="10" max="11" width="18.85546875" style="34" customWidth="1"/>
    <col min="12" max="12" width="44.5703125" style="29" customWidth="1"/>
    <col min="13" max="13" width="13.42578125" style="29" bestFit="1" customWidth="1"/>
    <col min="14" max="14" width="13.42578125" style="29" customWidth="1"/>
    <col min="15" max="15" width="13" style="29" customWidth="1"/>
    <col min="16" max="16" width="13.5703125" style="29" customWidth="1"/>
    <col min="17" max="17" width="13.7109375" style="29" customWidth="1"/>
  </cols>
  <sheetData>
    <row r="1" spans="1:17" ht="15.75" x14ac:dyDescent="0.25">
      <c r="A1" s="40" t="s">
        <v>61</v>
      </c>
      <c r="C1" s="41"/>
      <c r="E1" s="55"/>
      <c r="G1" s="43"/>
      <c r="L1" s="67"/>
    </row>
    <row r="2" spans="1:17" ht="15.75" x14ac:dyDescent="0.25">
      <c r="A2" t="s">
        <v>0</v>
      </c>
      <c r="C2" s="41"/>
      <c r="G2" s="43"/>
    </row>
    <row r="3" spans="1:17" ht="31.5" x14ac:dyDescent="0.25">
      <c r="A3" s="1"/>
      <c r="B3" s="1"/>
      <c r="C3" s="56" t="s">
        <v>68</v>
      </c>
      <c r="D3" s="56" t="s">
        <v>1</v>
      </c>
      <c r="E3" s="56" t="s">
        <v>69</v>
      </c>
      <c r="F3" s="56" t="s">
        <v>70</v>
      </c>
      <c r="G3" s="56" t="s">
        <v>71</v>
      </c>
    </row>
    <row r="4" spans="1:17" ht="15.75" x14ac:dyDescent="0.25">
      <c r="A4" s="52" t="s">
        <v>51</v>
      </c>
      <c r="B4" s="53"/>
      <c r="C4" s="9"/>
      <c r="D4" s="10"/>
      <c r="E4" s="32"/>
      <c r="F4" s="32"/>
      <c r="G4" s="2"/>
      <c r="L4" s="68"/>
      <c r="M4" s="69"/>
      <c r="N4" s="69"/>
      <c r="O4" s="69"/>
      <c r="P4" s="69"/>
      <c r="Q4" s="69"/>
    </row>
    <row r="5" spans="1:17" ht="15.75" x14ac:dyDescent="0.25">
      <c r="A5" s="45" t="s">
        <v>7</v>
      </c>
      <c r="B5" s="45"/>
      <c r="C5" s="31">
        <f t="shared" ref="C5:E5" si="0">SUM(C6:C10)</f>
        <v>351218</v>
      </c>
      <c r="D5" s="31">
        <f t="shared" si="0"/>
        <v>351218</v>
      </c>
      <c r="E5" s="31">
        <f t="shared" si="0"/>
        <v>393190.16000000003</v>
      </c>
      <c r="F5" s="31">
        <f t="shared" ref="F5" si="1">SUM(F6:F10)</f>
        <v>360397.42000000004</v>
      </c>
      <c r="G5" s="31">
        <f>SUM(G6:G10)</f>
        <v>41972.159999999989</v>
      </c>
      <c r="L5" s="70"/>
      <c r="M5" s="71"/>
      <c r="N5" s="71"/>
      <c r="O5" s="71"/>
      <c r="P5" s="71"/>
      <c r="Q5" s="71"/>
    </row>
    <row r="6" spans="1:17" ht="15.75" x14ac:dyDescent="0.25">
      <c r="A6" s="46" t="s">
        <v>3</v>
      </c>
      <c r="B6" s="46"/>
      <c r="C6" s="62">
        <v>310000</v>
      </c>
      <c r="D6" s="62">
        <f t="shared" ref="D6:D9" si="2">C6</f>
        <v>310000</v>
      </c>
      <c r="E6" s="62">
        <v>278980.17</v>
      </c>
      <c r="F6" s="3">
        <v>290130.7</v>
      </c>
      <c r="G6" s="3">
        <f t="shared" ref="G6:G10" si="3">E6-D6</f>
        <v>-31019.830000000016</v>
      </c>
      <c r="H6" s="38"/>
      <c r="I6" s="38"/>
      <c r="L6" s="72"/>
      <c r="M6" s="69"/>
      <c r="N6" s="69"/>
      <c r="O6" s="69"/>
      <c r="P6" s="69"/>
      <c r="Q6" s="69"/>
    </row>
    <row r="7" spans="1:17" ht="15.75" x14ac:dyDescent="0.25">
      <c r="A7" s="46" t="s">
        <v>47</v>
      </c>
      <c r="B7" s="46"/>
      <c r="C7" s="62">
        <v>3300</v>
      </c>
      <c r="D7" s="62">
        <f t="shared" si="2"/>
        <v>3300</v>
      </c>
      <c r="E7" s="62">
        <v>41447.949999999997</v>
      </c>
      <c r="F7" s="3">
        <v>3746.09</v>
      </c>
      <c r="G7" s="3">
        <f t="shared" si="3"/>
        <v>38147.949999999997</v>
      </c>
      <c r="H7" s="38"/>
      <c r="I7" s="38"/>
      <c r="L7" s="72"/>
      <c r="M7" s="69"/>
      <c r="N7" s="69"/>
      <c r="O7" s="69"/>
      <c r="P7" s="69"/>
      <c r="Q7" s="69"/>
    </row>
    <row r="8" spans="1:17" ht="15.75" x14ac:dyDescent="0.25">
      <c r="A8" s="46" t="s">
        <v>2</v>
      </c>
      <c r="B8" s="46"/>
      <c r="C8" s="62">
        <v>37918</v>
      </c>
      <c r="D8" s="62">
        <f t="shared" si="2"/>
        <v>37918</v>
      </c>
      <c r="E8" s="62">
        <f>55626.72-10820.88</f>
        <v>44805.840000000004</v>
      </c>
      <c r="F8" s="3">
        <f>50484.39-6457.2</f>
        <v>44027.19</v>
      </c>
      <c r="G8" s="3">
        <f t="shared" si="3"/>
        <v>6887.8400000000038</v>
      </c>
      <c r="H8" s="38"/>
      <c r="I8" s="38"/>
      <c r="L8" s="72"/>
      <c r="M8" s="69"/>
      <c r="N8" s="69"/>
      <c r="O8" s="69"/>
      <c r="P8" s="69"/>
      <c r="Q8" s="69"/>
    </row>
    <row r="9" spans="1:17" ht="15.75" x14ac:dyDescent="0.25">
      <c r="A9" s="44" t="s">
        <v>4</v>
      </c>
      <c r="B9" s="44"/>
      <c r="C9" s="62"/>
      <c r="D9" s="62">
        <f t="shared" si="2"/>
        <v>0</v>
      </c>
      <c r="E9" s="62">
        <v>10000</v>
      </c>
      <c r="F9" s="3">
        <v>0</v>
      </c>
      <c r="G9" s="3">
        <f t="shared" si="3"/>
        <v>10000</v>
      </c>
      <c r="H9" s="38"/>
      <c r="I9" s="38"/>
      <c r="L9" s="72"/>
      <c r="M9" s="69"/>
      <c r="N9" s="69"/>
      <c r="O9" s="69"/>
      <c r="P9" s="69"/>
      <c r="Q9" s="69"/>
    </row>
    <row r="10" spans="1:17" ht="15.75" x14ac:dyDescent="0.25">
      <c r="A10" s="44" t="s">
        <v>44</v>
      </c>
      <c r="B10" s="44"/>
      <c r="C10" s="62"/>
      <c r="D10" s="62">
        <f>C10</f>
        <v>0</v>
      </c>
      <c r="E10" s="62">
        <v>17956.2</v>
      </c>
      <c r="F10" s="3">
        <v>22493.439999999999</v>
      </c>
      <c r="G10" s="3">
        <f t="shared" si="3"/>
        <v>17956.2</v>
      </c>
      <c r="H10" s="59"/>
      <c r="I10" s="38"/>
      <c r="L10" s="72"/>
      <c r="M10" s="69"/>
      <c r="N10" s="69"/>
      <c r="O10" s="69"/>
      <c r="P10" s="69"/>
      <c r="Q10" s="69"/>
    </row>
    <row r="11" spans="1:17" ht="15.75" x14ac:dyDescent="0.25">
      <c r="A11" s="45" t="s">
        <v>8</v>
      </c>
      <c r="B11" s="45"/>
      <c r="C11" s="63">
        <v>-6952547</v>
      </c>
      <c r="D11" s="63">
        <f>C11-206247.26+35940+50557-148094.24</f>
        <v>-7220391.5</v>
      </c>
      <c r="E11" s="63">
        <f>-6563667.91-216326.48-131470.46+71132</f>
        <v>-6840332.8500000006</v>
      </c>
      <c r="F11" s="31">
        <f>-6666656.31-225660.89-145006.09+66766</f>
        <v>-6970557.2899999991</v>
      </c>
      <c r="G11" s="31">
        <f t="shared" ref="G11:G16" si="4">E11-D11</f>
        <v>380058.64999999944</v>
      </c>
      <c r="L11" s="70"/>
      <c r="M11" s="71"/>
      <c r="N11" s="71"/>
      <c r="O11" s="71"/>
      <c r="P11" s="71"/>
      <c r="Q11" s="71"/>
    </row>
    <row r="12" spans="1:17" ht="15.75" x14ac:dyDescent="0.25">
      <c r="A12" s="47"/>
      <c r="B12" s="46" t="s">
        <v>6</v>
      </c>
      <c r="C12" s="62">
        <v>-4219532</v>
      </c>
      <c r="D12" s="62">
        <f>C12-186951+29459-10071.29</f>
        <v>-4387095.29</v>
      </c>
      <c r="E12" s="64">
        <v>-4086603.61</v>
      </c>
      <c r="F12" s="32">
        <v>-4394005.9400000004</v>
      </c>
      <c r="G12" s="3">
        <f t="shared" si="4"/>
        <v>300491.68000000017</v>
      </c>
      <c r="L12" s="72"/>
      <c r="M12" s="69"/>
      <c r="N12" s="69"/>
      <c r="O12" s="69"/>
      <c r="P12" s="69"/>
      <c r="Q12" s="69"/>
    </row>
    <row r="13" spans="1:17" ht="15.75" x14ac:dyDescent="0.25">
      <c r="A13" s="47"/>
      <c r="B13" s="46" t="s">
        <v>48</v>
      </c>
      <c r="C13" s="62">
        <v>-132179</v>
      </c>
      <c r="D13" s="62">
        <f>C13+6481-3765.05</f>
        <v>-129463.05</v>
      </c>
      <c r="E13" s="64">
        <v>-131470.46</v>
      </c>
      <c r="F13" s="32">
        <v>-145006.09</v>
      </c>
      <c r="G13" s="3">
        <f t="shared" si="4"/>
        <v>-2007.4099999999889</v>
      </c>
      <c r="L13" s="72"/>
      <c r="M13" s="69"/>
      <c r="N13" s="69"/>
      <c r="O13" s="69"/>
      <c r="P13" s="69"/>
      <c r="Q13" s="69"/>
    </row>
    <row r="14" spans="1:17" ht="15.75" x14ac:dyDescent="0.25">
      <c r="A14" s="45" t="s">
        <v>9</v>
      </c>
      <c r="B14" s="45"/>
      <c r="C14" s="31">
        <v>0</v>
      </c>
      <c r="D14" s="31"/>
      <c r="E14" s="65">
        <v>0</v>
      </c>
      <c r="F14" s="33">
        <f>-38220-7644</f>
        <v>-45864</v>
      </c>
      <c r="G14" s="31">
        <f t="shared" si="4"/>
        <v>0</v>
      </c>
      <c r="L14" s="70"/>
      <c r="M14" s="71"/>
      <c r="N14" s="71"/>
      <c r="O14" s="71"/>
      <c r="P14" s="71"/>
      <c r="Q14" s="71"/>
    </row>
    <row r="15" spans="1:17" ht="15.75" x14ac:dyDescent="0.25">
      <c r="A15" s="47"/>
      <c r="B15" s="46" t="s">
        <v>6</v>
      </c>
      <c r="C15" s="3">
        <v>0</v>
      </c>
      <c r="D15" s="3"/>
      <c r="E15" s="64">
        <v>0</v>
      </c>
      <c r="F15" s="32">
        <v>-38000</v>
      </c>
      <c r="G15" s="3">
        <f t="shared" si="4"/>
        <v>0</v>
      </c>
      <c r="L15" s="72"/>
      <c r="M15" s="69"/>
      <c r="N15" s="69"/>
      <c r="O15" s="69"/>
      <c r="P15" s="69"/>
      <c r="Q15" s="69"/>
    </row>
    <row r="16" spans="1:17" ht="15.75" x14ac:dyDescent="0.25">
      <c r="A16" s="47"/>
      <c r="B16" s="46" t="s">
        <v>48</v>
      </c>
      <c r="C16" s="3">
        <v>0</v>
      </c>
      <c r="D16" s="3"/>
      <c r="E16" s="64">
        <v>0</v>
      </c>
      <c r="F16" s="32">
        <v>-7644</v>
      </c>
      <c r="G16" s="3">
        <f t="shared" si="4"/>
        <v>0</v>
      </c>
      <c r="J16" s="34">
        <f t="shared" ref="J16" si="5">E16-D16</f>
        <v>0</v>
      </c>
      <c r="L16" s="72"/>
      <c r="M16" s="69"/>
      <c r="N16" s="69"/>
      <c r="O16" s="69"/>
      <c r="P16" s="69"/>
      <c r="Q16" s="69"/>
    </row>
    <row r="17" spans="1:17" ht="15.75" x14ac:dyDescent="0.25">
      <c r="A17" s="48" t="s">
        <v>10</v>
      </c>
      <c r="B17" s="48"/>
      <c r="C17" s="31"/>
      <c r="D17" s="31"/>
      <c r="E17" s="63">
        <f>SUM(E18:E20)</f>
        <v>-427618.12</v>
      </c>
      <c r="F17" s="31">
        <f>SUM(F18:F20)</f>
        <v>-610681.80000000005</v>
      </c>
      <c r="G17" s="31"/>
      <c r="L17" s="73"/>
      <c r="M17" s="71"/>
      <c r="N17" s="71"/>
      <c r="O17" s="71"/>
      <c r="P17" s="71"/>
      <c r="Q17" s="71"/>
    </row>
    <row r="18" spans="1:17" ht="15.75" x14ac:dyDescent="0.25">
      <c r="A18" s="51"/>
      <c r="B18" s="51" t="s">
        <v>13</v>
      </c>
      <c r="C18" s="3"/>
      <c r="D18" s="3"/>
      <c r="E18" s="62">
        <v>10820.88</v>
      </c>
      <c r="F18" s="3">
        <v>6457.2</v>
      </c>
      <c r="G18" s="3"/>
      <c r="L18" s="74"/>
      <c r="M18" s="69"/>
      <c r="N18" s="69"/>
      <c r="O18" s="69"/>
      <c r="P18" s="69"/>
      <c r="Q18" s="69"/>
    </row>
    <row r="19" spans="1:17" ht="15.75" x14ac:dyDescent="0.25">
      <c r="A19" s="51"/>
      <c r="B19" s="51" t="s">
        <v>14</v>
      </c>
      <c r="C19" s="4"/>
      <c r="D19" s="4"/>
      <c r="E19" s="66">
        <v>-367307</v>
      </c>
      <c r="F19" s="4">
        <v>-550373</v>
      </c>
      <c r="G19" s="3"/>
      <c r="L19" s="74"/>
      <c r="M19" s="69"/>
      <c r="N19" s="69"/>
      <c r="O19" s="69"/>
      <c r="P19" s="69"/>
      <c r="Q19" s="69"/>
    </row>
    <row r="20" spans="1:17" ht="15.75" x14ac:dyDescent="0.25">
      <c r="A20" s="46"/>
      <c r="B20" s="46" t="s">
        <v>15</v>
      </c>
      <c r="C20" s="4"/>
      <c r="D20" s="4"/>
      <c r="E20" s="66">
        <v>-71132</v>
      </c>
      <c r="F20" s="4">
        <v>-66766</v>
      </c>
      <c r="G20" s="3"/>
      <c r="L20" s="75"/>
      <c r="M20" s="69"/>
      <c r="N20" s="69"/>
      <c r="O20" s="69"/>
      <c r="P20" s="69"/>
      <c r="Q20" s="69"/>
    </row>
    <row r="21" spans="1:17" ht="15.75" x14ac:dyDescent="0.25">
      <c r="A21" s="49"/>
      <c r="B21" s="50" t="s">
        <v>11</v>
      </c>
      <c r="C21" s="5"/>
      <c r="D21" s="6"/>
      <c r="E21" s="7">
        <f>E5+E11+E17+E16</f>
        <v>-6874760.8100000005</v>
      </c>
      <c r="F21" s="7">
        <f>F5+F11+F17+F16</f>
        <v>-7228485.669999999</v>
      </c>
      <c r="G21" s="8"/>
      <c r="L21" s="76"/>
      <c r="M21" s="69"/>
      <c r="N21" s="69"/>
      <c r="O21" s="69"/>
      <c r="P21" s="69"/>
      <c r="Q21" s="69"/>
    </row>
    <row r="22" spans="1:17" ht="15.75" x14ac:dyDescent="0.25">
      <c r="A22" s="49"/>
      <c r="B22" s="50" t="s">
        <v>12</v>
      </c>
      <c r="C22" s="5"/>
      <c r="D22" s="6"/>
      <c r="E22" s="7">
        <v>-6874760.8099999996</v>
      </c>
      <c r="F22" s="7">
        <v>-7228485.6699999999</v>
      </c>
      <c r="G22" s="8"/>
      <c r="L22" s="76"/>
      <c r="M22" s="69"/>
      <c r="N22" s="69"/>
      <c r="O22" s="69"/>
      <c r="P22" s="69"/>
      <c r="Q22" s="69"/>
    </row>
    <row r="23" spans="1:17" x14ac:dyDescent="0.25">
      <c r="E23" s="42">
        <f>E21-E22</f>
        <v>0</v>
      </c>
      <c r="L23" s="77"/>
    </row>
    <row r="26" spans="1:17" ht="15.75" x14ac:dyDescent="0.25">
      <c r="C26" s="57"/>
      <c r="D26" s="57"/>
      <c r="E26" s="57"/>
      <c r="F26" s="57"/>
      <c r="G26" s="57"/>
      <c r="H26" s="58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14"/>
  <sheetViews>
    <sheetView workbookViewId="0">
      <selection activeCell="C10" sqref="C10"/>
    </sheetView>
  </sheetViews>
  <sheetFormatPr defaultRowHeight="15" x14ac:dyDescent="0.25"/>
  <cols>
    <col min="1" max="1" width="20.85546875" customWidth="1"/>
    <col min="2" max="2" width="39.140625" customWidth="1"/>
    <col min="3" max="3" width="16.7109375" style="30" bestFit="1" customWidth="1"/>
    <col min="4" max="4" width="16.140625" style="30" bestFit="1" customWidth="1"/>
    <col min="5" max="5" width="16.7109375" style="30" bestFit="1" customWidth="1"/>
    <col min="6" max="6" width="9.140625" style="17"/>
    <col min="7" max="7" width="16" style="17" bestFit="1" customWidth="1"/>
    <col min="8" max="8" width="16.7109375" style="17" bestFit="1" customWidth="1"/>
    <col min="9" max="9" width="15.85546875" style="17" bestFit="1" customWidth="1"/>
    <col min="11" max="11" width="13.5703125" bestFit="1" customWidth="1"/>
    <col min="13" max="13" width="14.28515625" bestFit="1" customWidth="1"/>
    <col min="14" max="14" width="10.7109375" bestFit="1" customWidth="1"/>
    <col min="15" max="15" width="13.28515625" customWidth="1"/>
  </cols>
  <sheetData>
    <row r="1" spans="1:15" x14ac:dyDescent="0.25">
      <c r="A1" s="11" t="s">
        <v>17</v>
      </c>
      <c r="B1" s="12"/>
      <c r="C1" s="35"/>
      <c r="D1" s="35"/>
      <c r="E1" s="35"/>
      <c r="F1" s="13"/>
      <c r="G1" s="14"/>
      <c r="H1" s="15"/>
      <c r="I1" s="16"/>
      <c r="J1" s="17"/>
    </row>
    <row r="2" spans="1:15" x14ac:dyDescent="0.25">
      <c r="A2" s="11" t="s">
        <v>18</v>
      </c>
      <c r="B2" s="12"/>
      <c r="C2" s="35"/>
      <c r="D2" s="35"/>
      <c r="E2" s="35"/>
      <c r="F2" s="13"/>
      <c r="G2" s="14"/>
      <c r="H2" s="15"/>
      <c r="I2" s="15"/>
      <c r="J2" s="17"/>
    </row>
    <row r="3" spans="1:15" x14ac:dyDescent="0.25">
      <c r="A3" s="11"/>
      <c r="B3" s="12"/>
      <c r="C3" s="36">
        <f>SUBTOTAL(9,C5:C15)</f>
        <v>-6874760.8099999996</v>
      </c>
      <c r="D3" s="36">
        <f>SUBTOTAL(9,D5:D15)</f>
        <v>-6874760.8100000005</v>
      </c>
      <c r="E3" s="36">
        <f>SUBTOTAL(9,E5:E15)</f>
        <v>0</v>
      </c>
      <c r="F3" s="13"/>
      <c r="G3" s="36">
        <f>SUBTOTAL(9,G5:G15)</f>
        <v>-7266705.6699999999</v>
      </c>
      <c r="H3" s="36">
        <f>SUBTOTAL(9,H5:H15)</f>
        <v>-7266705.669999999</v>
      </c>
      <c r="I3" s="36">
        <f>SUBTOTAL(9,I5:I15)</f>
        <v>0</v>
      </c>
    </row>
    <row r="4" spans="1:15" ht="25.5" x14ac:dyDescent="0.25">
      <c r="A4" s="18" t="s">
        <v>23</v>
      </c>
      <c r="B4" s="18" t="s">
        <v>19</v>
      </c>
      <c r="C4" s="37" t="s">
        <v>62</v>
      </c>
      <c r="D4" s="37" t="s">
        <v>63</v>
      </c>
      <c r="E4" s="37" t="s">
        <v>64</v>
      </c>
      <c r="F4" s="39" t="s">
        <v>20</v>
      </c>
      <c r="G4" s="19" t="s">
        <v>58</v>
      </c>
      <c r="H4" s="19" t="s">
        <v>59</v>
      </c>
      <c r="I4" s="19" t="s">
        <v>60</v>
      </c>
      <c r="J4" s="18" t="s">
        <v>20</v>
      </c>
    </row>
    <row r="5" spans="1:15" x14ac:dyDescent="0.25">
      <c r="A5" t="s">
        <v>22</v>
      </c>
      <c r="B5" t="s">
        <v>3</v>
      </c>
      <c r="C5" s="17">
        <v>278980.17</v>
      </c>
      <c r="D5" s="15">
        <f>aruanne!E6</f>
        <v>278980.17</v>
      </c>
      <c r="E5" s="15">
        <f t="shared" ref="E5:E14" si="0">C5-D5</f>
        <v>0</v>
      </c>
      <c r="G5" s="17">
        <v>290130.7</v>
      </c>
      <c r="H5" s="15">
        <f>aruanne!F6</f>
        <v>290130.7</v>
      </c>
      <c r="I5" s="15">
        <f t="shared" ref="I5:I14" si="1">G5-H5</f>
        <v>0</v>
      </c>
      <c r="K5" s="17"/>
      <c r="O5" s="17"/>
    </row>
    <row r="6" spans="1:15" x14ac:dyDescent="0.25">
      <c r="A6" t="s">
        <v>22</v>
      </c>
      <c r="B6" t="s">
        <v>47</v>
      </c>
      <c r="C6" s="17">
        <v>41447.949999999997</v>
      </c>
      <c r="D6" s="15">
        <f>aruanne!E7</f>
        <v>41447.949999999997</v>
      </c>
      <c r="E6" s="15">
        <f t="shared" si="0"/>
        <v>0</v>
      </c>
      <c r="G6" s="17">
        <v>3746.09</v>
      </c>
      <c r="H6" s="15">
        <f>aruanne!F7</f>
        <v>3746.09</v>
      </c>
      <c r="I6" s="15">
        <f t="shared" si="1"/>
        <v>0</v>
      </c>
      <c r="K6" s="17"/>
      <c r="O6" s="17"/>
    </row>
    <row r="7" spans="1:15" x14ac:dyDescent="0.25">
      <c r="A7" t="s">
        <v>22</v>
      </c>
      <c r="B7" t="s">
        <v>2</v>
      </c>
      <c r="C7" s="17">
        <v>55626.720000000001</v>
      </c>
      <c r="D7" s="15">
        <f>aruanne!E8+aruanne!E18</f>
        <v>55626.720000000001</v>
      </c>
      <c r="E7" s="15">
        <f t="shared" si="0"/>
        <v>0</v>
      </c>
      <c r="G7" s="17">
        <v>50484.39</v>
      </c>
      <c r="H7" s="15">
        <f>aruanne!F8+aruanne!F18</f>
        <v>50484.39</v>
      </c>
      <c r="I7" s="15">
        <f t="shared" si="1"/>
        <v>0</v>
      </c>
      <c r="K7" s="17"/>
      <c r="O7" s="17"/>
    </row>
    <row r="8" spans="1:15" x14ac:dyDescent="0.25">
      <c r="A8" t="s">
        <v>22</v>
      </c>
      <c r="B8" t="s">
        <v>4</v>
      </c>
      <c r="C8" s="17">
        <v>10000</v>
      </c>
      <c r="D8" s="15">
        <f>aruanne!E9</f>
        <v>10000</v>
      </c>
      <c r="E8" s="15">
        <f t="shared" si="0"/>
        <v>0</v>
      </c>
      <c r="G8" s="17">
        <v>0</v>
      </c>
      <c r="H8" s="15">
        <f>aruanne!F9</f>
        <v>0</v>
      </c>
      <c r="I8" s="15">
        <f t="shared" si="1"/>
        <v>0</v>
      </c>
      <c r="K8" s="17"/>
      <c r="O8" s="17"/>
    </row>
    <row r="9" spans="1:15" x14ac:dyDescent="0.25">
      <c r="A9" t="s">
        <v>22</v>
      </c>
      <c r="B9" t="s">
        <v>5</v>
      </c>
      <c r="C9" s="17">
        <v>17956.2</v>
      </c>
      <c r="D9" s="15">
        <f>aruanne!E10</f>
        <v>17956.2</v>
      </c>
      <c r="E9" s="15">
        <f t="shared" si="0"/>
        <v>0</v>
      </c>
      <c r="G9" s="17">
        <v>22493.439999999999</v>
      </c>
      <c r="H9" s="15">
        <f>aruanne!F10</f>
        <v>22493.439999999999</v>
      </c>
      <c r="I9" s="15">
        <f t="shared" si="1"/>
        <v>0</v>
      </c>
      <c r="K9" s="17"/>
      <c r="O9" s="17"/>
    </row>
    <row r="10" spans="1:15" s="79" customFormat="1" x14ac:dyDescent="0.25">
      <c r="A10" s="79" t="s">
        <v>22</v>
      </c>
      <c r="B10" s="79" t="s">
        <v>50</v>
      </c>
      <c r="C10" s="83">
        <f>-6911464.85-C12-C14</f>
        <v>-6779994.3899999997</v>
      </c>
      <c r="D10" s="80">
        <f>aruanne!E11-D12+aruanne!E20</f>
        <v>-6779994.3900000006</v>
      </c>
      <c r="E10" s="80">
        <f t="shared" si="0"/>
        <v>0</v>
      </c>
      <c r="F10" s="81"/>
      <c r="G10" s="81">
        <v>-6892317.2000000002</v>
      </c>
      <c r="H10" s="82">
        <f>aruanne!F11-H12+aruanne!F20</f>
        <v>-6892317.1999999993</v>
      </c>
      <c r="I10" s="82">
        <f t="shared" si="1"/>
        <v>0</v>
      </c>
      <c r="K10" s="81"/>
      <c r="O10" s="81"/>
    </row>
    <row r="11" spans="1:15" x14ac:dyDescent="0.25">
      <c r="A11" t="s">
        <v>22</v>
      </c>
      <c r="B11" t="s">
        <v>21</v>
      </c>
      <c r="C11" s="17">
        <v>-367307</v>
      </c>
      <c r="D11" s="15">
        <f>aruanne!E19</f>
        <v>-367307</v>
      </c>
      <c r="E11" s="15">
        <f t="shared" si="0"/>
        <v>0</v>
      </c>
      <c r="G11" s="17">
        <v>-550373</v>
      </c>
      <c r="H11" s="15">
        <f>aruanne!F19</f>
        <v>-550373</v>
      </c>
      <c r="I11" s="15">
        <f t="shared" si="1"/>
        <v>0</v>
      </c>
      <c r="K11" s="17"/>
      <c r="O11" s="17"/>
    </row>
    <row r="12" spans="1:15" x14ac:dyDescent="0.25">
      <c r="A12" t="s">
        <v>22</v>
      </c>
      <c r="B12" t="s">
        <v>43</v>
      </c>
      <c r="C12" s="17">
        <v>-131470.46</v>
      </c>
      <c r="D12" s="15">
        <f>aruanne!E13</f>
        <v>-131470.46</v>
      </c>
      <c r="E12" s="15">
        <f t="shared" si="0"/>
        <v>0</v>
      </c>
      <c r="G12" s="17">
        <v>-145006.09</v>
      </c>
      <c r="H12" s="15">
        <f>aruanne!F13</f>
        <v>-145006.09</v>
      </c>
      <c r="I12" s="15">
        <f t="shared" si="1"/>
        <v>0</v>
      </c>
      <c r="K12" s="17"/>
      <c r="O12" s="17"/>
    </row>
    <row r="13" spans="1:15" x14ac:dyDescent="0.25">
      <c r="A13" t="s">
        <v>22</v>
      </c>
      <c r="B13" t="s">
        <v>16</v>
      </c>
      <c r="C13" s="17">
        <v>0</v>
      </c>
      <c r="D13" s="15">
        <f>aruanne!E14-D14</f>
        <v>0</v>
      </c>
      <c r="E13" s="15">
        <f t="shared" ref="E13" si="2">C13-D13</f>
        <v>0</v>
      </c>
      <c r="G13" s="17">
        <v>-38220</v>
      </c>
      <c r="H13" s="15">
        <f>aruanne!F14-H14</f>
        <v>-38220</v>
      </c>
      <c r="I13" s="15">
        <f t="shared" si="1"/>
        <v>0</v>
      </c>
      <c r="K13" s="17"/>
      <c r="O13" s="17"/>
    </row>
    <row r="14" spans="1:15" x14ac:dyDescent="0.25">
      <c r="A14" t="s">
        <v>22</v>
      </c>
      <c r="B14" t="s">
        <v>49</v>
      </c>
      <c r="C14" s="17">
        <v>0</v>
      </c>
      <c r="D14" s="15">
        <f>aruanne!E16</f>
        <v>0</v>
      </c>
      <c r="E14" s="15">
        <f t="shared" si="0"/>
        <v>0</v>
      </c>
      <c r="G14" s="17">
        <v>-7644</v>
      </c>
      <c r="H14" s="15">
        <f>aruanne!F16</f>
        <v>-7644</v>
      </c>
      <c r="I14" s="15">
        <f t="shared" si="1"/>
        <v>0</v>
      </c>
      <c r="K14" s="17"/>
      <c r="O14" s="17"/>
    </row>
  </sheetData>
  <autoFilter ref="A4:J15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H35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A22" sqref="A22"/>
    </sheetView>
  </sheetViews>
  <sheetFormatPr defaultRowHeight="15" x14ac:dyDescent="0.25"/>
  <cols>
    <col min="1" max="1" width="58.28515625" customWidth="1"/>
    <col min="3" max="3" width="9.140625" customWidth="1"/>
    <col min="4" max="4" width="54.5703125" customWidth="1"/>
    <col min="7" max="7" width="39.28515625" customWidth="1"/>
  </cols>
  <sheetData>
    <row r="1" spans="1:8" x14ac:dyDescent="0.25">
      <c r="A1" s="11" t="s">
        <v>17</v>
      </c>
    </row>
    <row r="2" spans="1:8" x14ac:dyDescent="0.25">
      <c r="A2" s="11" t="s">
        <v>24</v>
      </c>
    </row>
    <row r="3" spans="1:8" x14ac:dyDescent="0.25">
      <c r="A3" s="20" t="s">
        <v>0</v>
      </c>
    </row>
    <row r="4" spans="1:8" x14ac:dyDescent="0.25">
      <c r="A4" s="11"/>
      <c r="B4" s="12"/>
      <c r="C4" s="12"/>
    </row>
    <row r="5" spans="1:8" x14ac:dyDescent="0.25">
      <c r="A5" s="11"/>
      <c r="B5" s="12">
        <v>5</v>
      </c>
      <c r="C5" s="12">
        <v>5</v>
      </c>
    </row>
    <row r="6" spans="1:8" ht="52.5" customHeight="1" x14ac:dyDescent="0.25">
      <c r="A6" s="21"/>
      <c r="B6" s="22" t="s">
        <v>25</v>
      </c>
      <c r="C6" s="22" t="s">
        <v>52</v>
      </c>
    </row>
    <row r="7" spans="1:8" x14ac:dyDescent="0.25">
      <c r="A7" s="23" t="s">
        <v>26</v>
      </c>
      <c r="B7" s="24">
        <f>aruanne!C5</f>
        <v>351218</v>
      </c>
      <c r="C7" s="78">
        <f>aruanne!C11+aruanne!C14</f>
        <v>-6952547</v>
      </c>
    </row>
    <row r="8" spans="1:8" x14ac:dyDescent="0.25">
      <c r="A8" s="23" t="s">
        <v>27</v>
      </c>
      <c r="B8" s="24"/>
      <c r="C8" s="78">
        <v>-206247</v>
      </c>
    </row>
    <row r="9" spans="1:8" x14ac:dyDescent="0.25">
      <c r="A9" s="23" t="s">
        <v>66</v>
      </c>
      <c r="B9" s="24"/>
      <c r="C9" s="78"/>
    </row>
    <row r="10" spans="1:8" x14ac:dyDescent="0.25">
      <c r="A10" s="23" t="s">
        <v>65</v>
      </c>
      <c r="B10" s="24"/>
      <c r="C10" s="78">
        <v>35940</v>
      </c>
    </row>
    <row r="11" spans="1:8" x14ac:dyDescent="0.25">
      <c r="A11" s="23" t="s">
        <v>67</v>
      </c>
      <c r="B11" s="24"/>
      <c r="C11" s="24"/>
    </row>
    <row r="12" spans="1:8" x14ac:dyDescent="0.25">
      <c r="A12" s="25" t="s">
        <v>53</v>
      </c>
      <c r="B12" s="24"/>
      <c r="C12" s="24"/>
    </row>
    <row r="13" spans="1:8" x14ac:dyDescent="0.25">
      <c r="A13" s="25" t="s">
        <v>28</v>
      </c>
      <c r="B13" s="24"/>
      <c r="C13" s="24"/>
    </row>
    <row r="14" spans="1:8" x14ac:dyDescent="0.25">
      <c r="A14" s="23" t="s">
        <v>29</v>
      </c>
      <c r="B14" s="24"/>
      <c r="C14" s="24">
        <v>37918</v>
      </c>
      <c r="H14" s="60"/>
    </row>
    <row r="15" spans="1:8" x14ac:dyDescent="0.25">
      <c r="A15" s="23" t="s">
        <v>30</v>
      </c>
      <c r="B15" s="24"/>
      <c r="C15" s="24">
        <f>-96575-10071.29</f>
        <v>-106646.29000000001</v>
      </c>
      <c r="D15" s="54"/>
      <c r="H15" s="61"/>
    </row>
    <row r="16" spans="1:8" x14ac:dyDescent="0.25">
      <c r="A16" s="23" t="s">
        <v>45</v>
      </c>
      <c r="B16" s="24"/>
      <c r="C16" s="24">
        <f>50557-41218</f>
        <v>9339</v>
      </c>
      <c r="D16" s="61"/>
      <c r="E16" s="60"/>
      <c r="H16" s="60"/>
    </row>
    <row r="17" spans="1:8" x14ac:dyDescent="0.25">
      <c r="A17" s="23" t="s">
        <v>46</v>
      </c>
      <c r="B17" s="24"/>
      <c r="C17" s="24"/>
      <c r="H17" s="60"/>
    </row>
    <row r="18" spans="1:8" x14ac:dyDescent="0.25">
      <c r="A18" s="23" t="s">
        <v>31</v>
      </c>
      <c r="B18" s="24"/>
      <c r="C18" s="24"/>
    </row>
    <row r="19" spans="1:8" x14ac:dyDescent="0.25">
      <c r="A19" s="84" t="s">
        <v>32</v>
      </c>
      <c r="B19" s="24"/>
      <c r="C19" s="24"/>
    </row>
    <row r="20" spans="1:8" x14ac:dyDescent="0.25">
      <c r="A20" s="84" t="s">
        <v>33</v>
      </c>
      <c r="B20" s="24"/>
      <c r="C20" s="78"/>
    </row>
    <row r="21" spans="1:8" x14ac:dyDescent="0.25">
      <c r="A21" s="84" t="s">
        <v>34</v>
      </c>
      <c r="B21" s="24"/>
      <c r="C21" s="78">
        <v>3300</v>
      </c>
    </row>
    <row r="22" spans="1:8" x14ac:dyDescent="0.25">
      <c r="A22" s="84" t="s">
        <v>35</v>
      </c>
      <c r="B22" s="24"/>
      <c r="C22" s="78">
        <v>-41447.949999999997</v>
      </c>
    </row>
    <row r="23" spans="1:8" x14ac:dyDescent="0.25">
      <c r="A23" s="84" t="s">
        <v>36</v>
      </c>
      <c r="B23" s="24"/>
      <c r="C23" s="24"/>
    </row>
    <row r="24" spans="1:8" x14ac:dyDescent="0.25">
      <c r="A24" s="84" t="s">
        <v>54</v>
      </c>
      <c r="B24" s="24"/>
      <c r="C24" s="24"/>
    </row>
    <row r="25" spans="1:8" x14ac:dyDescent="0.25">
      <c r="A25" s="84" t="s">
        <v>55</v>
      </c>
      <c r="B25" s="24"/>
      <c r="C25" s="24"/>
    </row>
    <row r="26" spans="1:8" x14ac:dyDescent="0.25">
      <c r="A26" s="84" t="s">
        <v>37</v>
      </c>
      <c r="B26" s="24"/>
      <c r="C26" s="24"/>
    </row>
    <row r="27" spans="1:8" x14ac:dyDescent="0.25">
      <c r="A27" s="84" t="s">
        <v>38</v>
      </c>
      <c r="B27" s="24"/>
      <c r="C27" s="24"/>
    </row>
    <row r="28" spans="1:8" x14ac:dyDescent="0.25">
      <c r="A28" s="84" t="s">
        <v>39</v>
      </c>
      <c r="B28" s="24"/>
      <c r="C28" s="24"/>
    </row>
    <row r="29" spans="1:8" x14ac:dyDescent="0.25">
      <c r="A29" s="84" t="s">
        <v>57</v>
      </c>
      <c r="B29" s="24"/>
      <c r="C29" s="24"/>
    </row>
    <row r="30" spans="1:8" x14ac:dyDescent="0.25">
      <c r="A30" s="84" t="s">
        <v>40</v>
      </c>
      <c r="B30" s="24"/>
      <c r="C30" s="24"/>
    </row>
    <row r="31" spans="1:8" x14ac:dyDescent="0.25">
      <c r="A31" s="84" t="s">
        <v>56</v>
      </c>
      <c r="B31" s="24"/>
      <c r="C31" s="24"/>
    </row>
    <row r="32" spans="1:8" x14ac:dyDescent="0.25">
      <c r="A32" s="23" t="s">
        <v>41</v>
      </c>
      <c r="B32" s="24"/>
      <c r="C32" s="24"/>
    </row>
    <row r="33" spans="1:3" x14ac:dyDescent="0.25">
      <c r="A33" s="26" t="s">
        <v>42</v>
      </c>
      <c r="B33" s="27">
        <f t="shared" ref="B33:C33" si="0">SUM(B7:B32)</f>
        <v>351218</v>
      </c>
      <c r="C33" s="27">
        <f t="shared" si="0"/>
        <v>-7220391.2400000002</v>
      </c>
    </row>
    <row r="34" spans="1:3" x14ac:dyDescent="0.25">
      <c r="A34" s="28"/>
      <c r="B34" s="28">
        <f>aruanne!D5</f>
        <v>351218</v>
      </c>
      <c r="C34" s="28">
        <f>aruanne!D11+aruanne!D14</f>
        <v>-7220391.5</v>
      </c>
    </row>
    <row r="35" spans="1:3" x14ac:dyDescent="0.25">
      <c r="A35" s="28"/>
      <c r="B35" s="28">
        <f t="shared" ref="B35:C35" si="1">B33-B34</f>
        <v>0</v>
      </c>
      <c r="C35" s="28">
        <f t="shared" si="1"/>
        <v>0.25999999977648258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23725-42F7-4055-91A7-CAE672B95CC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aruanne</vt:lpstr>
      <vt:lpstr>vordlus</vt:lpstr>
      <vt:lpstr>lisa1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Monika Kask</cp:lastModifiedBy>
  <dcterms:created xsi:type="dcterms:W3CDTF">2022-02-14T16:37:54Z</dcterms:created>
  <dcterms:modified xsi:type="dcterms:W3CDTF">2025-03-24T10:02:23Z</dcterms:modified>
</cp:coreProperties>
</file>